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126348\Documents\"/>
    </mc:Choice>
  </mc:AlternateContent>
  <xr:revisionPtr revIDLastSave="0" documentId="8_{D589F80C-E1FF-4238-8CDF-0C15435F0B0E}" xr6:coauthVersionLast="47" xr6:coauthVersionMax="47" xr10:uidLastSave="{00000000-0000-0000-0000-000000000000}"/>
  <bookViews>
    <workbookView xWindow="-120" yWindow="-120" windowWidth="57840" windowHeight="17640" xr2:uid="{AC4BEF52-32CD-4E2B-8CFB-FB49FD1CDE17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C35" i="3"/>
  <c r="C29" i="3"/>
  <c r="D29" i="3"/>
  <c r="E29" i="3"/>
  <c r="D35" i="3"/>
  <c r="E35" i="3"/>
  <c r="C36" i="3"/>
  <c r="D36" i="3"/>
  <c r="E36" i="3"/>
  <c r="E16" i="3"/>
  <c r="E32" i="3" s="1"/>
  <c r="D16" i="3"/>
  <c r="D37" i="3" s="1"/>
  <c r="C16" i="3"/>
  <c r="C32" i="3" s="1"/>
  <c r="D13" i="3"/>
  <c r="D12" i="3" s="1"/>
  <c r="E13" i="3"/>
  <c r="E12" i="3" s="1"/>
  <c r="E10" i="3"/>
  <c r="E6" i="3"/>
  <c r="E4" i="3"/>
  <c r="E28" i="3"/>
  <c r="E13" i="1"/>
  <c r="D10" i="1"/>
  <c r="D8" i="1" s="1"/>
  <c r="D9" i="1" s="1"/>
  <c r="D17" i="1" s="1"/>
  <c r="E10" i="1"/>
  <c r="C10" i="1"/>
  <c r="E11" i="1"/>
  <c r="D11" i="1"/>
  <c r="C11" i="1"/>
  <c r="C13" i="3"/>
  <c r="C12" i="3" s="1"/>
  <c r="E8" i="1"/>
  <c r="E9" i="1" s="1"/>
  <c r="E17" i="1" s="1"/>
  <c r="C8" i="1"/>
  <c r="C9" i="1" s="1"/>
  <c r="C17" i="1" s="1"/>
  <c r="C33" i="3" l="1"/>
  <c r="E23" i="3"/>
  <c r="E33" i="3"/>
  <c r="D33" i="3"/>
  <c r="C38" i="3"/>
  <c r="C30" i="3"/>
  <c r="C31" i="3"/>
  <c r="D38" i="3"/>
  <c r="D34" i="3"/>
  <c r="D32" i="3"/>
  <c r="D31" i="3"/>
  <c r="D22" i="3"/>
  <c r="D42" i="3" s="1"/>
  <c r="C39" i="3"/>
  <c r="D39" i="3"/>
  <c r="D30" i="3"/>
  <c r="D40" i="3"/>
  <c r="E41" i="3"/>
  <c r="C22" i="3"/>
  <c r="C40" i="3"/>
  <c r="E30" i="3"/>
  <c r="E39" i="3"/>
  <c r="E40" i="3"/>
  <c r="E31" i="3"/>
  <c r="E22" i="3"/>
  <c r="E34" i="3"/>
  <c r="E38" i="3"/>
  <c r="E37" i="3"/>
  <c r="C16" i="1"/>
  <c r="C18" i="1" s="1"/>
  <c r="E16" i="1"/>
  <c r="E18" i="1" s="1"/>
  <c r="D16" i="1"/>
  <c r="D18" i="1" s="1"/>
  <c r="C42" i="3" l="1"/>
  <c r="E4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2A86BF-BA00-4E9F-B7A9-22F49633D93D}" keepAlive="1" name="Query - OUTPATIENT OutpatientClinic" description="Connection to the 'OUTPATIENT OutpatientClinic' query in the workbook." type="5" refreshedVersion="0" background="1">
    <dbPr connection="Provider=Microsoft.Mashup.OleDb.1;Data Source=$Workbook$;Location=&quot;OUTPATIENT OutpatientClinic&quot;;Extended Properties=&quot;&quot;" command="SELECT * FROM [OUTPATIENT OutpatientClinic]"/>
  </connection>
</connections>
</file>

<file path=xl/sharedStrings.xml><?xml version="1.0" encoding="utf-8"?>
<sst xmlns="http://schemas.openxmlformats.org/spreadsheetml/2006/main" count="58" uniqueCount="53">
  <si>
    <t>Income</t>
  </si>
  <si>
    <t>Tax</t>
  </si>
  <si>
    <t>Ramsay</t>
  </si>
  <si>
    <t>MIMS</t>
  </si>
  <si>
    <t>Currency Rate</t>
  </si>
  <si>
    <t>Mutriworks</t>
  </si>
  <si>
    <t>Foreign Tax</t>
  </si>
  <si>
    <t>Total Taxable income</t>
  </si>
  <si>
    <t>Total Tax Paid</t>
  </si>
  <si>
    <t>Council rates</t>
  </si>
  <si>
    <t>Water rates</t>
  </si>
  <si>
    <t>House insurance premiums</t>
  </si>
  <si>
    <r>
      <t>Number of weeks of the year the above expenses relate to </t>
    </r>
    <r>
      <rPr>
        <b/>
        <sz val="14"/>
        <color rgb="FF000000"/>
        <rFont val="Arial"/>
        <family val="2"/>
      </rPr>
      <t>*</t>
    </r>
  </si>
  <si>
    <r>
      <t>Floor area of your house enter area in meters squared</t>
    </r>
    <r>
      <rPr>
        <b/>
        <sz val="14"/>
        <color rgb="FF000000"/>
        <rFont val="Arial"/>
        <family val="2"/>
      </rPr>
      <t>*</t>
    </r>
    <r>
      <rPr>
        <b/>
        <sz val="14"/>
        <color rgb="FF333333"/>
        <rFont val="Arial"/>
        <family val="2"/>
      </rPr>
      <t> </t>
    </r>
  </si>
  <si>
    <r>
      <t>Floor area of your home office enter area in meters squared</t>
    </r>
    <r>
      <rPr>
        <b/>
        <sz val="14"/>
        <color rgb="FF000000"/>
        <rFont val="Arial"/>
        <family val="2"/>
      </rPr>
      <t>*</t>
    </r>
  </si>
  <si>
    <t>Number of weeks during the year your home office was a 'place of business' *</t>
  </si>
  <si>
    <t>Hours of operation</t>
  </si>
  <si>
    <t>This includes avg 8 hours per day for 7 days a week (foreign work)</t>
  </si>
  <si>
    <t>Covid (8 weeks at home, 8 hours per day 5 days a week)</t>
  </si>
  <si>
    <t>Income Summary</t>
  </si>
  <si>
    <t>Deductions</t>
  </si>
  <si>
    <t>Expenses</t>
  </si>
  <si>
    <t>Ipad Keyboard</t>
  </si>
  <si>
    <t>Car Licenc and registration</t>
  </si>
  <si>
    <t>Car Service/Repoair</t>
  </si>
  <si>
    <t>Office Supplies</t>
  </si>
  <si>
    <t>Car Insurance?</t>
  </si>
  <si>
    <t>Mortgage interest/Rent</t>
  </si>
  <si>
    <t>Gmail workspaces</t>
  </si>
  <si>
    <t>Fastmail</t>
  </si>
  <si>
    <t>Medium Subscription</t>
  </si>
  <si>
    <t>Python Anywhere</t>
  </si>
  <si>
    <t>Apple iCloud</t>
  </si>
  <si>
    <t>Domains</t>
  </si>
  <si>
    <t>USA Exchange rates</t>
  </si>
  <si>
    <t>Internet</t>
  </si>
  <si>
    <t>Github</t>
  </si>
  <si>
    <t>Setapp</t>
  </si>
  <si>
    <t>Apple Developer Program</t>
  </si>
  <si>
    <t>Microblog</t>
  </si>
  <si>
    <t>Linode</t>
  </si>
  <si>
    <t>Monthly OpenAI</t>
  </si>
  <si>
    <t>Apple Watch (Development unit)</t>
  </si>
  <si>
    <t>Car Service/Repair</t>
  </si>
  <si>
    <t>Rental Car</t>
  </si>
  <si>
    <t>Car Usage (km)</t>
  </si>
  <si>
    <t>Ipad (Business use)</t>
  </si>
  <si>
    <t>Laptop (Business Use)</t>
  </si>
  <si>
    <t>OpenAI (Business use)</t>
  </si>
  <si>
    <t>Monthly OpenAI Subscription</t>
  </si>
  <si>
    <t>Synology Diskstation (Backup Solution)</t>
  </si>
  <si>
    <t>Seagate HDD for Synology</t>
  </si>
  <si>
    <t>Mobile Phone Service - Telstra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</si>
</sst>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333333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medium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14">
    <xf numFmtId="0" fontId="0" fillId="0" borderId="0" xfId="0"/>
    <xf numFmtId="8" fontId="0" fillId="0" borderId="0" xfId="0" applyNumberFormat="1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2" fillId="0" borderId="0" xfId="4"/>
    <xf numFmtId="168" fontId="0" fillId="0" borderId="0" xfId="3" applyNumberFormat="1" applyFont="1"/>
    <xf numFmtId="0" fontId="8" fillId="0" borderId="0" xfId="0" applyFont="1" applyAlignment="1">
      <alignment horizontal="left" indent="2"/>
    </xf>
    <xf numFmtId="0" fontId="9" fillId="0" borderId="0" xfId="0" applyFont="1"/>
    <xf numFmtId="44" fontId="0" fillId="0" borderId="0" xfId="2" applyFont="1"/>
    <xf numFmtId="0" fontId="4" fillId="2" borderId="0" xfId="5"/>
    <xf numFmtId="44" fontId="4" fillId="2" borderId="0" xfId="2" applyFont="1" applyFill="1"/>
    <xf numFmtId="43" fontId="0" fillId="0" borderId="0" xfId="1" applyFont="1"/>
    <xf numFmtId="44" fontId="0" fillId="0" borderId="1" xfId="0" applyNumberFormat="1" applyBorder="1"/>
  </cellXfs>
  <cellStyles count="6">
    <cellStyle name="Accent1" xfId="5" builtinId="29"/>
    <cellStyle name="Comma" xfId="1" builtinId="3"/>
    <cellStyle name="Currency" xfId="2" builtinId="4"/>
    <cellStyle name="Normal" xfId="0" builtinId="0"/>
    <cellStyle name="Percent" xfId="3" builtinId="5"/>
    <cellStyle name="Title" xfId="4" builtinId="15"/>
  </cellStyles>
  <dxfs count="0"/>
  <tableStyles count="1" defaultTableStyle="TableStyleMedium2" defaultPivotStyle="PivotStyleLight16">
    <tableStyle name="Invisible" pivot="0" table="0" count="0" xr9:uid="{C1647D71-04BC-4E71-8709-5C13CCF56F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AE92-4FAA-419B-87A8-A97AB6EAACCC}">
  <dimension ref="A2:E18"/>
  <sheetViews>
    <sheetView tabSelected="1" workbookViewId="0">
      <selection activeCell="C9" sqref="C9"/>
    </sheetView>
  </sheetViews>
  <sheetFormatPr defaultRowHeight="15" x14ac:dyDescent="0.25"/>
  <cols>
    <col min="1" max="1" width="11.28515625" bestFit="1" customWidth="1"/>
    <col min="2" max="2" width="20" bestFit="1" customWidth="1"/>
    <col min="3" max="5" width="11.140625" bestFit="1" customWidth="1"/>
  </cols>
  <sheetData>
    <row r="2" spans="1:5" ht="23.25" x14ac:dyDescent="0.35">
      <c r="B2" s="5" t="s">
        <v>19</v>
      </c>
    </row>
    <row r="4" spans="1:5" ht="15.75" thickBot="1" x14ac:dyDescent="0.3">
      <c r="C4" s="4">
        <v>2022</v>
      </c>
      <c r="D4" s="4">
        <v>2023</v>
      </c>
      <c r="E4" s="4">
        <v>2024</v>
      </c>
    </row>
    <row r="5" spans="1:5" x14ac:dyDescent="0.25">
      <c r="A5" s="3" t="s">
        <v>2</v>
      </c>
      <c r="B5" s="2" t="s">
        <v>0</v>
      </c>
      <c r="C5" s="1">
        <v>131725.29</v>
      </c>
      <c r="D5" s="1">
        <v>137089.84</v>
      </c>
      <c r="E5" s="1">
        <v>140679.72</v>
      </c>
    </row>
    <row r="6" spans="1:5" x14ac:dyDescent="0.25">
      <c r="A6" s="3" t="s">
        <v>2</v>
      </c>
      <c r="B6" s="2" t="s">
        <v>1</v>
      </c>
      <c r="C6" s="1">
        <v>36476</v>
      </c>
      <c r="D6" s="1">
        <v>38540</v>
      </c>
      <c r="E6" s="1">
        <v>39968</v>
      </c>
    </row>
    <row r="8" spans="1:5" x14ac:dyDescent="0.25">
      <c r="A8" s="3" t="s">
        <v>3</v>
      </c>
      <c r="B8" s="2" t="s">
        <v>0</v>
      </c>
      <c r="C8" s="1">
        <f>25000*12/C10</f>
        <v>25080</v>
      </c>
      <c r="D8" s="1">
        <f>25000*12/D10</f>
        <v>23205</v>
      </c>
      <c r="E8" s="1">
        <f>25000*12/E10</f>
        <v>23721.000000000004</v>
      </c>
    </row>
    <row r="9" spans="1:5" x14ac:dyDescent="0.25">
      <c r="A9" s="3" t="s">
        <v>3</v>
      </c>
      <c r="B9" s="2" t="s">
        <v>6</v>
      </c>
      <c r="C9" s="1">
        <f>C8*0.25</f>
        <v>6270</v>
      </c>
      <c r="D9" s="1">
        <f t="shared" ref="D9:E9" si="0">D8*0.25</f>
        <v>5801.25</v>
      </c>
      <c r="E9" s="1">
        <f t="shared" si="0"/>
        <v>5930.2500000000009</v>
      </c>
    </row>
    <row r="10" spans="1:5" x14ac:dyDescent="0.25">
      <c r="B10" s="2" t="s">
        <v>4</v>
      </c>
      <c r="C10">
        <f>C11</f>
        <v>11.961722488038278</v>
      </c>
      <c r="D10">
        <f t="shared" ref="D10:E10" si="1">D11</f>
        <v>12.92824822236587</v>
      </c>
      <c r="E10">
        <f t="shared" si="1"/>
        <v>12.64702162640698</v>
      </c>
    </row>
    <row r="11" spans="1:5" x14ac:dyDescent="0.25">
      <c r="B11" s="2"/>
      <c r="C11">
        <f>1/0.0836</f>
        <v>11.961722488038278</v>
      </c>
      <c r="D11">
        <f>1/0.07735</f>
        <v>12.92824822236587</v>
      </c>
      <c r="E11">
        <f>1/0.07907</f>
        <v>12.64702162640698</v>
      </c>
    </row>
    <row r="13" spans="1:5" x14ac:dyDescent="0.25">
      <c r="A13" s="3" t="s">
        <v>5</v>
      </c>
      <c r="B13" s="2" t="s">
        <v>0</v>
      </c>
      <c r="E13">
        <f>3*12672.34 + 2*9720.89</f>
        <v>57458.8</v>
      </c>
    </row>
    <row r="14" spans="1:5" x14ac:dyDescent="0.25">
      <c r="A14" s="3"/>
      <c r="B14" s="2" t="s">
        <v>1</v>
      </c>
      <c r="E14">
        <v>25500</v>
      </c>
    </row>
    <row r="16" spans="1:5" x14ac:dyDescent="0.25">
      <c r="B16" s="2" t="s">
        <v>7</v>
      </c>
      <c r="C16" s="1">
        <f>C5+C8+C13</f>
        <v>156805.29</v>
      </c>
      <c r="D16" s="1">
        <f t="shared" ref="D16:E17" si="2">D5+D8+D13</f>
        <v>160294.84</v>
      </c>
      <c r="E16" s="1">
        <f t="shared" si="2"/>
        <v>221859.52000000002</v>
      </c>
    </row>
    <row r="17" spans="2:5" x14ac:dyDescent="0.25">
      <c r="B17" s="2" t="s">
        <v>8</v>
      </c>
      <c r="C17" s="1">
        <f>C6+C9+C14</f>
        <v>42746</v>
      </c>
      <c r="D17" s="1">
        <f t="shared" si="2"/>
        <v>44341.25</v>
      </c>
      <c r="E17" s="1">
        <f t="shared" si="2"/>
        <v>71398.25</v>
      </c>
    </row>
    <row r="18" spans="2:5" x14ac:dyDescent="0.25">
      <c r="C18" s="6">
        <f>C17/C16</f>
        <v>0.27260559895651476</v>
      </c>
      <c r="D18" s="6">
        <f t="shared" ref="D18:E18" si="3">D17/D16</f>
        <v>0.27662306534633307</v>
      </c>
      <c r="E18" s="6">
        <f t="shared" si="3"/>
        <v>0.32181738245895419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B4E9-B8C3-43F4-A723-EBF9E3C93E8F}">
  <dimension ref="B2:E50"/>
  <sheetViews>
    <sheetView topLeftCell="A20" workbookViewId="0">
      <selection activeCell="M8" sqref="M8"/>
    </sheetView>
  </sheetViews>
  <sheetFormatPr defaultRowHeight="15" x14ac:dyDescent="0.25"/>
  <cols>
    <col min="2" max="2" width="71.7109375" bestFit="1" customWidth="1"/>
    <col min="3" max="3" width="10.5703125" bestFit="1" customWidth="1"/>
    <col min="4" max="4" width="10.7109375" bestFit="1" customWidth="1"/>
    <col min="5" max="5" width="11.5703125" bestFit="1" customWidth="1"/>
  </cols>
  <sheetData>
    <row r="2" spans="2:5" ht="23.25" x14ac:dyDescent="0.35">
      <c r="B2" s="5" t="s">
        <v>20</v>
      </c>
    </row>
    <row r="3" spans="2:5" ht="15.75" thickBot="1" x14ac:dyDescent="0.3">
      <c r="C3" s="4">
        <v>2022</v>
      </c>
      <c r="D3" s="4">
        <v>2023</v>
      </c>
      <c r="E3" s="4">
        <v>2024</v>
      </c>
    </row>
    <row r="4" spans="2:5" x14ac:dyDescent="0.25">
      <c r="B4" s="2" t="s">
        <v>27</v>
      </c>
      <c r="C4">
        <v>18000</v>
      </c>
      <c r="D4">
        <v>5580</v>
      </c>
      <c r="E4">
        <f>465*12</f>
        <v>5580</v>
      </c>
    </row>
    <row r="5" spans="2:5" x14ac:dyDescent="0.25">
      <c r="B5" s="2" t="s">
        <v>9</v>
      </c>
      <c r="C5">
        <v>1900</v>
      </c>
    </row>
    <row r="6" spans="2:5" x14ac:dyDescent="0.25">
      <c r="B6" s="2" t="s">
        <v>10</v>
      </c>
      <c r="C6">
        <v>1500</v>
      </c>
      <c r="D6">
        <v>300</v>
      </c>
      <c r="E6">
        <f>25*12</f>
        <v>300</v>
      </c>
    </row>
    <row r="7" spans="2:5" x14ac:dyDescent="0.25">
      <c r="B7" s="2" t="s">
        <v>11</v>
      </c>
      <c r="C7">
        <v>1400</v>
      </c>
    </row>
    <row r="8" spans="2:5" ht="18" x14ac:dyDescent="0.25">
      <c r="B8" s="2" t="s">
        <v>12</v>
      </c>
      <c r="C8">
        <v>52</v>
      </c>
      <c r="D8">
        <v>2</v>
      </c>
      <c r="E8">
        <v>2</v>
      </c>
    </row>
    <row r="9" spans="2:5" ht="18" x14ac:dyDescent="0.25">
      <c r="B9" s="2" t="s">
        <v>13</v>
      </c>
      <c r="C9">
        <v>186.7</v>
      </c>
      <c r="D9">
        <v>78</v>
      </c>
      <c r="E9">
        <v>78</v>
      </c>
    </row>
    <row r="10" spans="2:5" ht="18" x14ac:dyDescent="0.25">
      <c r="B10" s="2" t="s">
        <v>14</v>
      </c>
      <c r="C10">
        <v>9</v>
      </c>
      <c r="D10">
        <v>19.5</v>
      </c>
      <c r="E10">
        <f>E9/4</f>
        <v>19.5</v>
      </c>
    </row>
    <row r="11" spans="2:5" x14ac:dyDescent="0.25">
      <c r="B11" s="2" t="s">
        <v>15</v>
      </c>
      <c r="C11">
        <v>52</v>
      </c>
      <c r="D11">
        <v>52</v>
      </c>
      <c r="E11">
        <v>52</v>
      </c>
    </row>
    <row r="12" spans="2:5" x14ac:dyDescent="0.25">
      <c r="B12" s="2" t="s">
        <v>16</v>
      </c>
      <c r="C12">
        <f>C13+C14</f>
        <v>3232</v>
      </c>
      <c r="D12">
        <f t="shared" ref="D12:E12" si="0">D13+D14</f>
        <v>2912</v>
      </c>
      <c r="E12">
        <f t="shared" si="0"/>
        <v>2912</v>
      </c>
    </row>
    <row r="13" spans="2:5" x14ac:dyDescent="0.25">
      <c r="B13" s="7" t="s">
        <v>17</v>
      </c>
      <c r="C13" s="8">
        <f>8*7*52</f>
        <v>2912</v>
      </c>
      <c r="D13" s="8">
        <f t="shared" ref="D13:E13" si="1">8*7*52</f>
        <v>2912</v>
      </c>
      <c r="E13" s="8">
        <f t="shared" si="1"/>
        <v>2912</v>
      </c>
    </row>
    <row r="14" spans="2:5" x14ac:dyDescent="0.25">
      <c r="B14" s="7" t="s">
        <v>18</v>
      </c>
      <c r="C14" s="8">
        <v>320</v>
      </c>
    </row>
    <row r="16" spans="2:5" x14ac:dyDescent="0.25">
      <c r="B16" s="10" t="s">
        <v>34</v>
      </c>
      <c r="C16" s="11">
        <f>1/0.7258</f>
        <v>1.3777900248002204</v>
      </c>
      <c r="D16" s="11">
        <f>1/0.6734</f>
        <v>1.485001485001485</v>
      </c>
      <c r="E16" s="11">
        <f>1/0.6556</f>
        <v>1.5253203172666261</v>
      </c>
    </row>
    <row r="17" spans="2:5" x14ac:dyDescent="0.25">
      <c r="C17" s="9"/>
      <c r="D17" s="9"/>
      <c r="E17" s="9"/>
    </row>
    <row r="18" spans="2:5" x14ac:dyDescent="0.25">
      <c r="B18" s="2" t="s">
        <v>21</v>
      </c>
      <c r="C18" s="9"/>
      <c r="D18" s="9"/>
      <c r="E18" s="9"/>
    </row>
    <row r="19" spans="2:5" x14ac:dyDescent="0.25">
      <c r="B19" t="s">
        <v>46</v>
      </c>
      <c r="C19" s="9"/>
      <c r="D19" s="9"/>
      <c r="E19" s="9">
        <v>3468</v>
      </c>
    </row>
    <row r="20" spans="2:5" x14ac:dyDescent="0.25">
      <c r="B20" t="s">
        <v>22</v>
      </c>
      <c r="C20" s="9"/>
      <c r="D20" s="9"/>
      <c r="E20" s="9">
        <v>159</v>
      </c>
    </row>
    <row r="21" spans="2:5" x14ac:dyDescent="0.25">
      <c r="B21" t="s">
        <v>47</v>
      </c>
      <c r="C21" s="9"/>
      <c r="D21" s="9">
        <v>1899</v>
      </c>
      <c r="E21" s="9"/>
    </row>
    <row r="22" spans="2:5" x14ac:dyDescent="0.25">
      <c r="B22" t="s">
        <v>48</v>
      </c>
      <c r="C22" s="9">
        <f>(19.58+0.88+5.82+5.56+3+1.57)*C16</f>
        <v>50.16533480297602</v>
      </c>
      <c r="D22" s="9">
        <f>1.57*D16</f>
        <v>2.3314523314523314</v>
      </c>
      <c r="E22" s="9">
        <f>(136.32+55.11+24.37)*E16</f>
        <v>329.16412446613793</v>
      </c>
    </row>
    <row r="23" spans="2:5" x14ac:dyDescent="0.25">
      <c r="B23" t="s">
        <v>49</v>
      </c>
      <c r="C23" s="9"/>
      <c r="D23" s="9"/>
      <c r="E23" s="9">
        <f>20*11*E16</f>
        <v>335.57046979865777</v>
      </c>
    </row>
    <row r="24" spans="2:5" x14ac:dyDescent="0.25">
      <c r="B24" t="s">
        <v>50</v>
      </c>
      <c r="C24" s="9"/>
      <c r="D24" s="9"/>
      <c r="E24" s="9">
        <v>589</v>
      </c>
    </row>
    <row r="25" spans="2:5" x14ac:dyDescent="0.25">
      <c r="B25" t="s">
        <v>51</v>
      </c>
      <c r="C25" s="9"/>
      <c r="D25" s="9"/>
      <c r="E25" s="9">
        <v>180</v>
      </c>
    </row>
    <row r="26" spans="2:5" x14ac:dyDescent="0.25">
      <c r="B26" t="s">
        <v>38</v>
      </c>
      <c r="C26" s="9"/>
      <c r="D26" s="9"/>
      <c r="E26" s="9">
        <v>150</v>
      </c>
    </row>
    <row r="27" spans="2:5" x14ac:dyDescent="0.25">
      <c r="B27" t="s">
        <v>42</v>
      </c>
      <c r="C27" s="9"/>
      <c r="D27" s="9"/>
      <c r="E27" s="9">
        <v>699</v>
      </c>
    </row>
    <row r="28" spans="2:5" x14ac:dyDescent="0.25">
      <c r="B28" t="s">
        <v>25</v>
      </c>
      <c r="C28" s="9"/>
      <c r="D28" s="9"/>
      <c r="E28" s="9">
        <f>74.3+10+6+439+45+34.99+29.95</f>
        <v>639.24</v>
      </c>
    </row>
    <row r="29" spans="2:5" x14ac:dyDescent="0.25">
      <c r="B29" t="s">
        <v>52</v>
      </c>
      <c r="C29" s="9">
        <f>50*12</f>
        <v>600</v>
      </c>
      <c r="D29" s="9">
        <f>149.45*12</f>
        <v>1793.3999999999999</v>
      </c>
      <c r="E29" s="9">
        <f>149.45*12</f>
        <v>1793.3999999999999</v>
      </c>
    </row>
    <row r="30" spans="2:5" x14ac:dyDescent="0.25">
      <c r="B30" t="s">
        <v>30</v>
      </c>
      <c r="C30" s="9">
        <f t="shared" ref="C30:D30" si="2">5*C16*12</f>
        <v>82.667401488013226</v>
      </c>
      <c r="D30" s="9">
        <f t="shared" si="2"/>
        <v>89.100089100089093</v>
      </c>
      <c r="E30" s="9">
        <f>5*E16*12</f>
        <v>91.519219035997565</v>
      </c>
    </row>
    <row r="31" spans="2:5" x14ac:dyDescent="0.25">
      <c r="B31" t="s">
        <v>28</v>
      </c>
      <c r="C31" s="9">
        <f>18*9*C16</f>
        <v>223.20198401763571</v>
      </c>
      <c r="D31" s="9">
        <f>18*12*D16</f>
        <v>320.76032076032078</v>
      </c>
      <c r="E31" s="9">
        <f>24*12*E16</f>
        <v>439.29225137278831</v>
      </c>
    </row>
    <row r="32" spans="2:5" x14ac:dyDescent="0.25">
      <c r="B32" t="s">
        <v>29</v>
      </c>
      <c r="C32" s="9">
        <f>5.5*12*C16</f>
        <v>90.934141636814545</v>
      </c>
      <c r="D32" s="9">
        <f t="shared" ref="D32:E32" si="3">5.5*12*D16</f>
        <v>98.010098010098005</v>
      </c>
      <c r="E32" s="9">
        <f t="shared" si="3"/>
        <v>100.67114093959732</v>
      </c>
    </row>
    <row r="33" spans="2:5" x14ac:dyDescent="0.25">
      <c r="B33" t="s">
        <v>33</v>
      </c>
      <c r="C33" s="9">
        <f>(22.64+8.58+20.91+5.33+9.19+2+9.13+9.13+4.22+7.84+2.98+13.64+20)*C16</f>
        <v>186.81454946266186</v>
      </c>
      <c r="D33" s="9">
        <f>(22.64+1.34+45.94+6.84+14.85+20)*D16</f>
        <v>165.74101574101573</v>
      </c>
      <c r="E33" s="9">
        <f>(24.18+22.97+10.37+22.97+16.06+20)*E16</f>
        <v>177.77608297742526</v>
      </c>
    </row>
    <row r="34" spans="2:5" x14ac:dyDescent="0.25">
      <c r="B34" t="s">
        <v>31</v>
      </c>
      <c r="C34" s="9"/>
      <c r="D34" s="9">
        <f>12*12*D16</f>
        <v>213.84021384021383</v>
      </c>
      <c r="E34" s="9">
        <f>12*12*E16</f>
        <v>219.64612568639416</v>
      </c>
    </row>
    <row r="35" spans="2:5" x14ac:dyDescent="0.25">
      <c r="B35" t="s">
        <v>32</v>
      </c>
      <c r="C35" s="9">
        <f>12.5*6+6*4.99</f>
        <v>104.94</v>
      </c>
      <c r="D35" s="9">
        <f t="shared" ref="D35" si="4">14.99*12</f>
        <v>179.88</v>
      </c>
      <c r="E35" s="9">
        <f>14.99*12</f>
        <v>179.88</v>
      </c>
    </row>
    <row r="36" spans="2:5" x14ac:dyDescent="0.25">
      <c r="B36" t="s">
        <v>35</v>
      </c>
      <c r="C36" s="9">
        <f t="shared" ref="C36:D36" si="5">95*12</f>
        <v>1140</v>
      </c>
      <c r="D36" s="9">
        <f t="shared" si="5"/>
        <v>1140</v>
      </c>
      <c r="E36" s="9">
        <f>95*12</f>
        <v>1140</v>
      </c>
    </row>
    <row r="37" spans="2:5" x14ac:dyDescent="0.25">
      <c r="B37" t="s">
        <v>36</v>
      </c>
      <c r="C37" s="9"/>
      <c r="D37" s="9">
        <f>3*10*D16 + 4*4*D16</f>
        <v>68.310068310068303</v>
      </c>
      <c r="E37" s="9">
        <f>10*12*E16</f>
        <v>183.03843807199513</v>
      </c>
    </row>
    <row r="38" spans="2:5" x14ac:dyDescent="0.25">
      <c r="B38" t="s">
        <v>37</v>
      </c>
      <c r="C38" s="9">
        <f>(10.99*3+13.73)*C16</f>
        <v>64.342794158170292</v>
      </c>
      <c r="D38" s="9">
        <f>13.74*5*D16</f>
        <v>102.01960201960202</v>
      </c>
      <c r="E38" s="9">
        <f>10*13.74*E16</f>
        <v>209.57901159243443</v>
      </c>
    </row>
    <row r="39" spans="2:5" x14ac:dyDescent="0.25">
      <c r="B39" t="s">
        <v>39</v>
      </c>
      <c r="C39" s="9">
        <f>5*12*C16</f>
        <v>82.667401488013226</v>
      </c>
      <c r="D39" s="9">
        <f>5*12*D16</f>
        <v>89.100089100089093</v>
      </c>
      <c r="E39" s="9">
        <f>5*3*E16</f>
        <v>22.879804758999391</v>
      </c>
    </row>
    <row r="40" spans="2:5" x14ac:dyDescent="0.25">
      <c r="B40" t="s">
        <v>40</v>
      </c>
      <c r="C40" s="9">
        <f>5.5*6*C16</f>
        <v>45.467070818407272</v>
      </c>
      <c r="D40" s="9">
        <f>5.5*12*D16</f>
        <v>98.010098010098005</v>
      </c>
      <c r="E40" s="9">
        <f>5.5*3*E16</f>
        <v>25.167785234899331</v>
      </c>
    </row>
    <row r="41" spans="2:5" x14ac:dyDescent="0.25">
      <c r="B41" t="s">
        <v>41</v>
      </c>
      <c r="C41" s="9"/>
      <c r="D41" s="9"/>
      <c r="E41" s="9">
        <f>20*11*E16</f>
        <v>335.57046979865777</v>
      </c>
    </row>
    <row r="42" spans="2:5" ht="15.75" thickBot="1" x14ac:dyDescent="0.3">
      <c r="C42" s="13">
        <f>SUM(C19:C40)</f>
        <v>2671.2006778726923</v>
      </c>
      <c r="D42" s="13">
        <f t="shared" ref="D42:E42" si="6">SUM(D19:D40)</f>
        <v>6259.5030472230465</v>
      </c>
      <c r="E42" s="13">
        <f t="shared" si="6"/>
        <v>11131.824453935324</v>
      </c>
    </row>
    <row r="44" spans="2:5" x14ac:dyDescent="0.25">
      <c r="B44" t="s">
        <v>23</v>
      </c>
      <c r="D44" s="9">
        <v>1000</v>
      </c>
      <c r="E44" s="9">
        <f>271.6*4</f>
        <v>1086.4000000000001</v>
      </c>
    </row>
    <row r="45" spans="2:5" x14ac:dyDescent="0.25">
      <c r="B45" t="s">
        <v>43</v>
      </c>
      <c r="D45" s="9"/>
      <c r="E45" s="9">
        <v>2817.12</v>
      </c>
    </row>
    <row r="46" spans="2:5" x14ac:dyDescent="0.25">
      <c r="B46" t="s">
        <v>24</v>
      </c>
      <c r="D46" s="9">
        <v>1900</v>
      </c>
      <c r="E46" s="9">
        <v>415</v>
      </c>
    </row>
    <row r="47" spans="2:5" x14ac:dyDescent="0.25">
      <c r="B47" t="s">
        <v>26</v>
      </c>
      <c r="D47" s="9">
        <v>1121.6600000000001</v>
      </c>
      <c r="E47" s="9">
        <v>1121.6600000000001</v>
      </c>
    </row>
    <row r="48" spans="2:5" x14ac:dyDescent="0.25">
      <c r="B48" t="s">
        <v>44</v>
      </c>
      <c r="D48" s="9"/>
      <c r="E48" s="9">
        <v>400</v>
      </c>
    </row>
    <row r="49" spans="2:5" x14ac:dyDescent="0.25">
      <c r="D49" s="9"/>
      <c r="E49" s="9"/>
    </row>
    <row r="50" spans="2:5" x14ac:dyDescent="0.25">
      <c r="B50" t="s">
        <v>45</v>
      </c>
      <c r="D50" s="12">
        <v>20000</v>
      </c>
      <c r="E50" s="12">
        <v>20000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D A A B Q S w M E F A A C A A g A k F p C W Z t 4 T Z O l A A A A 9 w A A A B I A H A B D b 2 5 m a W c v U G F j a 2 F n Z S 5 4 b W w g o h g A K K A U A A A A A A A A A A A A A A A A A A A A A A A A A A A A h Y 9 B D o I w F E S v Q r q n L T U Y Q 0 q J c S u J i d G 4 b U q F R v g Y W i x 3 c + G R v I I Y R d 2 5 n D d v M X O / 3 n g 2 N H V w 0 Z 0 1 L a Q o w h Q F G l R b G C h T 1 L t j u E C Z 4 B u p T r L U w S i D T Q Z b p K h y 7 p w Q 4 r 3 H f o b b r i S M 0 o g c 8 v V W V b q R 6 C O b / 3 J o w D o J S i P B 9 6 8 x g u G I U R z H 8 x h T T i b K c w N f g 4 2 D n + 0 P 5 K u + d n 2 n h Y Z w u e N k i p y 8 T 4 g H U E s D B B Q A A g A I A J B a Q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W k J Z C + t 7 V r U A A A A e A Q A A E w A c A E Z v c m 1 1 b G F z L 1 N l Y 3 R p b 2 4 x L m 0 g o h g A K K A U A A A A A A A A A A A A A A A A A A A A A A A A A A A A f Y 5 L C 4 J Q E I X 3 g v 9 h m D Y V I r Q W F 1 E t 3 K i h r U T i p i N e u H r t P o i I / n u W i x 6 L Z n P g c P i + 0 V Q Z L n v I p l w F r u M 6 u m W K a p h h c s j T d R 7 t 4 h w S a w Z m O P V m I 3 j P K 4 Q Q B B n X g f E y a V V F Y 5 O d h b 9 l h p 2 Y p j k O V m i i + o I e I K + J j V n s L a l r i J r E a I Q l N E p 2 8 P b 4 E z 1 V s u G C s F x 4 k + G 9 O H 4 t n s 6 X / F Z k V U s d C z + e R i 8 y 1 I X 4 w 7 w X M e u o d B 3 e / 4 c H D 1 B L A Q I t A B Q A A g A I A J B a Q l m b e E 2 T p Q A A A P c A A A A S A A A A A A A A A A A A A A A A A A A A A A B D b 2 5 m a W c v U G F j a 2 F n Z S 5 4 b W x Q S w E C L Q A U A A I A C A C Q W k J Z D 8 r p q 6 Q A A A D p A A A A E w A A A A A A A A A A A A A A A A D x A A A A W 0 N v b n R l b n R f V H l w Z X N d L n h t b F B L A Q I t A B Q A A g A I A J B a Q l k L 6 3 t W t Q A A A B 4 B A A A T A A A A A A A A A A A A A A A A A O I B A A B G b 3 J t d W x h c y 9 T Z W N 0 a W 9 u M S 5 t U E s F B g A A A A A D A A M A w g A A A O Q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g F A A A A A A A A x g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9 V V F B B V E l F T l Q l M j B P d X R w Y X R p Z W 5 0 Q 2 x p b m l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D J U M D M 6 M j A 6 M T A u M j I 3 M j E 2 M 1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P V V R Q Q V R J R U 5 U J T I w T 3 V 0 c G F 0 a W V u d E N s a W 5 p Y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V V R Q Q V R J R U 5 U J T I w T 3 V 0 c G F 0 a W V u d E N s a W 5 p Y y 9 P V V R Q Q V R J R U 5 U X 0 N s a W 5 p Y 1 B y b 2 Z p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8 H y z S m R s X 0 e W 0 L r Q F a 5 v w Q A A A A A C A A A A A A A D Z g A A w A A A A B A A A A A t p u A p + F a M G S M m L a b J g t L 9 A A A A A A S A A A C g A A A A E A A A A P 8 g M z f I l Z k 9 m O M W k m 3 U G u R Q A A A A + h 4 o a U T w 0 Y W y y q B R P n b R A 9 H Y d Y R I M 8 E n w P y X 4 6 k T P z e s n C o n 9 T B e z f 4 M W v t 4 w y k 1 7 1 j w D s M X D H v k D z p z l x U 7 T Z M t 4 O P O 9 K K n c k E N W U M m 5 X w U A A A A Y 4 3 a 9 K E 2 7 h j + w 9 g K o c 1 + X u d S T T Y = < / D a t a M a s h u p > 
</file>

<file path=customXml/itemProps1.xml><?xml version="1.0" encoding="utf-8"?>
<ds:datastoreItem xmlns:ds="http://schemas.openxmlformats.org/officeDocument/2006/customXml" ds:itemID="{F23FB052-BD7B-443C-AB1D-E1497F9E9F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Lotriet, Cornelius</dc:creator>
  <cp:lastModifiedBy>Lotriet, Cornelius</cp:lastModifiedBy>
  <dcterms:created xsi:type="dcterms:W3CDTF">2024-10-02T03:16:16Z</dcterms:created>
  <dcterms:modified xsi:type="dcterms:W3CDTF">2024-10-03T08:01:09Z</dcterms:modified>
</cp:coreProperties>
</file>